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16.10.2024" sheetId="1" r:id="rId1"/>
    <sheet name="РОО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<sst xmlns="http://schemas.openxmlformats.org/spreadsheetml/2006/main" count="49" uniqueCount="31">
  <si>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 xml:space="preserve"> Сводная информация  по КГУ "ОШ села Бирлестик" по открытым бюджетам  за 2024 год </t>
  </si>
  <si>
    <t>тыс.т.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</si>
  <si>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</si>
  <si>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</si>
  <si>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</si>
  <si>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</si>
  <si>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</si>
  <si>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</si>
  <si>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</si>
  <si>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в месяц  МБ+РБ</t>
  </si>
  <si>
    <t xml:space="preserve">з/пл  </t>
  </si>
  <si>
    <t>налоги</t>
  </si>
  <si>
    <t>Коомунальные расходы</t>
  </si>
  <si>
    <t xml:space="preserve">ГСМ /144 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</si>
  <si>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</si>
  <si>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</si>
  <si>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</si>
  <si>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</si>
  <si>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</si>
  <si>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</si>
  <si>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с.Бирлестык</t>
  </si>
  <si>
    <t>ИТОГО:</t>
  </si>
  <si>
    <t xml:space="preserve">Информация по открытым бюджетам по  Отделу образования   за 2024 год </t>
  </si>
  <si>
    <t>1 квартал</t>
  </si>
  <si>
    <t xml:space="preserve">2 квартал </t>
  </si>
  <si>
    <t>3 квартал</t>
  </si>
  <si>
    <t xml:space="preserve">4 квартал </t>
  </si>
  <si>
    <t>ГСМ /144</t>
  </si>
  <si>
    <t xml:space="preserve">ГУ Отдел образования </t>
  </si>
  <si>
    <t>Руководитель</t>
  </si>
  <si>
    <t>Кенжеболатова Д.Ш.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</si>
</sst>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#\ ##0.0"/>
    <numFmt numFmtId="182" formatCode="#\ ##0"/>
    <numFmt numFmtId="183" formatCode="dd\.mm\.yyyy"/>
    <numFmt numFmtId="184" formatCode="#\ ##0.00"/>
  </numFmts>
  <fonts count="4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6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rgb="FFFF0000"/>
      <name val="Times New Roman"/>
      <charset val="204"/>
    </font>
    <font>
      <sz val="12"/>
      <name val="Times New Roman"/>
      <charset val="204"/>
    </font>
    <font>
      <b/>
      <sz val="12"/>
      <color rgb="FFFF0000"/>
      <name val="Times New Roman"/>
      <charset val="204"/>
    </font>
    <font>
      <b/>
      <sz val="14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2"/>
      <color rgb="FF000000"/>
      <name val="Tahoma"/>
      <charset val="204"/>
    </font>
    <font>
      <sz val="12"/>
      <color theme="1"/>
      <name val="Calibri"/>
      <charset val="204"/>
      <scheme val="minor"/>
    </font>
    <font>
      <b/>
      <sz val="12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7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80" fontId="39" fillId="0" borderId="0" applyBorder="0" applyProtection="0"/>
  </cellStyleXfs>
  <cellXfs count="161">
    <xf numFmtId="0" fontId="0" fillId="0" borderId="0" xfId="0"/>
    <xf numFmtId="0" fontId="0" fillId="2" borderId="0" xfId="0" applyFill="1"/>
    <xf numFmtId="0" fontId="1" fillId="2" borderId="0" xfId="0" applyFont="1" applyFill="1"/>
    <xf numFmtId="181" fontId="0" fillId="0" borderId="0" xfId="0" applyNumberFormat="1"/>
    <xf numFmtId="18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82" fontId="0" fillId="2" borderId="0" xfId="0" applyNumberForma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81" fontId="2" fillId="0" borderId="3" xfId="0" applyNumberFormat="1" applyFont="1" applyBorder="1" applyAlignment="1">
      <alignment horizontal="center"/>
    </xf>
    <xf numFmtId="182" fontId="2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81" fontId="2" fillId="0" borderId="5" xfId="0" applyNumberFormat="1" applyFont="1" applyBorder="1" applyAlignment="1">
      <alignment horizontal="center"/>
    </xf>
    <xf numFmtId="182" fontId="2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2" fontId="2" fillId="2" borderId="5" xfId="0" applyNumberFormat="1" applyFont="1" applyFill="1" applyBorder="1" applyAlignment="1">
      <alignment horizontal="center" vertical="center" wrapText="1"/>
    </xf>
    <xf numFmtId="180" fontId="7" fillId="2" borderId="6" xfId="49" applyFont="1" applyFill="1" applyBorder="1" applyAlignment="1">
      <alignment horizontal="center" vertical="center" wrapText="1"/>
    </xf>
    <xf numFmtId="180" fontId="8" fillId="2" borderId="7" xfId="49" applyFont="1" applyFill="1" applyBorder="1" applyAlignment="1">
      <alignment vertical="top" wrapText="1"/>
    </xf>
    <xf numFmtId="181" fontId="8" fillId="2" borderId="5" xfId="49" applyNumberFormat="1" applyFont="1" applyFill="1" applyBorder="1" applyAlignment="1">
      <alignment vertical="top" wrapText="1"/>
    </xf>
    <xf numFmtId="182" fontId="6" fillId="2" borderId="4" xfId="0" applyNumberFormat="1" applyFont="1" applyFill="1" applyBorder="1" applyAlignment="1">
      <alignment horizontal="center"/>
    </xf>
    <xf numFmtId="180" fontId="9" fillId="2" borderId="6" xfId="49" applyFont="1" applyFill="1" applyBorder="1" applyAlignment="1">
      <alignment horizontal="center" vertical="center" wrapText="1"/>
    </xf>
    <xf numFmtId="180" fontId="10" fillId="2" borderId="7" xfId="49" applyFont="1" applyFill="1" applyBorder="1" applyAlignment="1">
      <alignment horizontal="center"/>
    </xf>
    <xf numFmtId="180" fontId="10" fillId="2" borderId="8" xfId="49" applyFont="1" applyFill="1" applyBorder="1" applyAlignment="1">
      <alignment horizontal="center"/>
    </xf>
    <xf numFmtId="181" fontId="10" fillId="2" borderId="5" xfId="49" applyNumberFormat="1" applyFont="1" applyFill="1" applyBorder="1" applyAlignment="1"/>
    <xf numFmtId="182" fontId="2" fillId="2" borderId="5" xfId="0" applyNumberFormat="1" applyFont="1" applyFill="1" applyBorder="1" applyAlignment="1">
      <alignment horizontal="center"/>
    </xf>
    <xf numFmtId="0" fontId="6" fillId="2" borderId="0" xfId="0" applyFont="1" applyFill="1"/>
    <xf numFmtId="181" fontId="6" fillId="2" borderId="0" xfId="0" applyNumberFormat="1" applyFont="1" applyFill="1"/>
    <xf numFmtId="182" fontId="6" fillId="2" borderId="0" xfId="0" applyNumberFormat="1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181" fontId="12" fillId="0" borderId="0" xfId="0" applyNumberFormat="1" applyFont="1"/>
    <xf numFmtId="182" fontId="12" fillId="2" borderId="0" xfId="0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181" fontId="14" fillId="0" borderId="0" xfId="0" applyNumberFormat="1" applyFont="1"/>
    <xf numFmtId="182" fontId="14" fillId="2" borderId="0" xfId="0" applyNumberFormat="1" applyFont="1" applyFill="1" applyAlignment="1">
      <alignment horizontal="center"/>
    </xf>
    <xf numFmtId="181" fontId="13" fillId="0" borderId="0" xfId="0" applyNumberFormat="1" applyFont="1"/>
    <xf numFmtId="182" fontId="1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82" fontId="2" fillId="2" borderId="0" xfId="0" applyNumberFormat="1" applyFont="1" applyFill="1" applyAlignment="1">
      <alignment horizontal="center"/>
    </xf>
    <xf numFmtId="182" fontId="2" fillId="2" borderId="3" xfId="0" applyNumberFormat="1" applyFont="1" applyFill="1" applyBorder="1" applyAlignment="1">
      <alignment horizontal="center" vertical="center" wrapText="1"/>
    </xf>
    <xf numFmtId="182" fontId="2" fillId="2" borderId="9" xfId="0" applyNumberFormat="1" applyFont="1" applyFill="1" applyBorder="1" applyAlignment="1">
      <alignment horizontal="center" vertical="center" wrapText="1"/>
    </xf>
    <xf numFmtId="182" fontId="2" fillId="2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82" fontId="2" fillId="2" borderId="11" xfId="0" applyNumberFormat="1" applyFont="1" applyFill="1" applyBorder="1" applyAlignment="1">
      <alignment horizontal="center" vertical="center" wrapText="1"/>
    </xf>
    <xf numFmtId="182" fontId="2" fillId="2" borderId="1" xfId="0" applyNumberFormat="1" applyFont="1" applyFill="1" applyBorder="1" applyAlignment="1">
      <alignment horizontal="center" vertical="center" wrapText="1"/>
    </xf>
    <xf numFmtId="182" fontId="2" fillId="2" borderId="12" xfId="0" applyNumberFormat="1" applyFont="1" applyFill="1" applyBorder="1" applyAlignment="1">
      <alignment horizontal="center" vertical="center" wrapText="1"/>
    </xf>
    <xf numFmtId="182" fontId="2" fillId="2" borderId="13" xfId="0" applyNumberFormat="1" applyFont="1" applyFill="1" applyBorder="1" applyAlignment="1">
      <alignment horizontal="center" vertical="center" wrapText="1"/>
    </xf>
    <xf numFmtId="182" fontId="2" fillId="2" borderId="14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82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82" fontId="8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82" fontId="4" fillId="2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83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82" fontId="6" fillId="2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182" fontId="6" fillId="2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82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182" fontId="6" fillId="2" borderId="5" xfId="0" applyNumberFormat="1" applyFont="1" applyFill="1" applyBorder="1" applyAlignment="1">
      <alignment horizontal="center" vertical="center" wrapText="1"/>
    </xf>
    <xf numFmtId="184" fontId="4" fillId="2" borderId="5" xfId="0" applyNumberFormat="1" applyFont="1" applyFill="1" applyBorder="1" applyAlignment="1">
      <alignment horizontal="center"/>
    </xf>
    <xf numFmtId="184" fontId="4" fillId="2" borderId="5" xfId="0" applyNumberFormat="1" applyFont="1" applyFill="1" applyBorder="1"/>
    <xf numFmtId="0" fontId="8" fillId="2" borderId="0" xfId="0" applyFont="1" applyFill="1" applyAlignment="1">
      <alignment horizontal="center"/>
    </xf>
    <xf numFmtId="182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182" fontId="13" fillId="2" borderId="0" xfId="0" applyNumberFormat="1" applyFont="1" applyFill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181" fontId="4" fillId="2" borderId="5" xfId="0" applyNumberFormat="1" applyFont="1" applyFill="1" applyBorder="1" applyAlignment="1">
      <alignment horizontal="center"/>
    </xf>
    <xf numFmtId="184" fontId="4" fillId="2" borderId="0" xfId="0" applyNumberFormat="1" applyFont="1" applyFill="1"/>
    <xf numFmtId="181" fontId="4" fillId="2" borderId="5" xfId="0" applyNumberFormat="1" applyFont="1" applyFill="1" applyBorder="1"/>
    <xf numFmtId="0" fontId="4" fillId="2" borderId="5" xfId="0" applyFont="1" applyFill="1" applyBorder="1"/>
    <xf numFmtId="0" fontId="5" fillId="2" borderId="0" xfId="0" applyFont="1" applyFill="1"/>
    <xf numFmtId="181" fontId="5" fillId="2" borderId="5" xfId="0" applyNumberFormat="1" applyFont="1" applyFill="1" applyBorder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18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81" fontId="14" fillId="0" borderId="3" xfId="0" applyNumberFormat="1" applyFont="1" applyBorder="1" applyAlignment="1">
      <alignment horizontal="center"/>
    </xf>
    <xf numFmtId="182" fontId="14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1" fontId="14" fillId="0" borderId="0" xfId="0" applyNumberFormat="1" applyFont="1" applyBorder="1" applyAlignment="1">
      <alignment horizontal="center"/>
    </xf>
    <xf numFmtId="182" fontId="14" fillId="2" borderId="0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81" fontId="14" fillId="0" borderId="5" xfId="0" applyNumberFormat="1" applyFont="1" applyBorder="1" applyAlignment="1">
      <alignment horizontal="center"/>
    </xf>
    <xf numFmtId="182" fontId="14" fillId="2" borderId="5" xfId="0" applyNumberFormat="1" applyFont="1" applyFill="1" applyBorder="1" applyAlignment="1">
      <alignment horizontal="center" vertical="center" wrapText="1"/>
    </xf>
    <xf numFmtId="180" fontId="16" fillId="2" borderId="6" xfId="49" applyFont="1" applyFill="1" applyBorder="1" applyAlignment="1">
      <alignment horizontal="center" vertical="center" wrapText="1"/>
    </xf>
    <xf numFmtId="0" fontId="9" fillId="3" borderId="16" xfId="0" applyFont="1" applyFill="1" applyBorder="1"/>
    <xf numFmtId="182" fontId="13" fillId="2" borderId="4" xfId="0" applyNumberFormat="1" applyFont="1" applyFill="1" applyBorder="1" applyAlignment="1">
      <alignment horizontal="center"/>
    </xf>
    <xf numFmtId="181" fontId="11" fillId="0" borderId="0" xfId="0" applyNumberFormat="1" applyFont="1"/>
    <xf numFmtId="182" fontId="11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82" fontId="14" fillId="2" borderId="9" xfId="0" applyNumberFormat="1" applyFont="1" applyFill="1" applyBorder="1" applyAlignment="1">
      <alignment horizontal="center" vertical="center" wrapText="1"/>
    </xf>
    <xf numFmtId="182" fontId="14" fillId="2" borderId="10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182" fontId="14" fillId="2" borderId="1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182" fontId="13" fillId="2" borderId="5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82" fontId="2" fillId="3" borderId="5" xfId="0" applyNumberFormat="1" applyFont="1" applyFill="1" applyBorder="1" applyAlignment="1">
      <alignment horizontal="center"/>
    </xf>
    <xf numFmtId="182" fontId="8" fillId="3" borderId="0" xfId="0" applyNumberFormat="1" applyFont="1" applyFill="1" applyAlignment="1">
      <alignment horizontal="center"/>
    </xf>
    <xf numFmtId="182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82" fontId="0" fillId="3" borderId="0" xfId="0" applyNumberFormat="1" applyFill="1" applyAlignment="1">
      <alignment horizontal="center"/>
    </xf>
    <xf numFmtId="0" fontId="15" fillId="0" borderId="0" xfId="0" applyFont="1" applyBorder="1" applyAlignment="1">
      <alignment horizontal="center"/>
    </xf>
    <xf numFmtId="183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82" fontId="17" fillId="2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82" fontId="17" fillId="2" borderId="1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82" fontId="17" fillId="2" borderId="4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13" xfId="0" applyFont="1" applyFill="1" applyBorder="1" applyAlignment="1">
      <alignment vertical="top" wrapText="1"/>
    </xf>
    <xf numFmtId="182" fontId="13" fillId="2" borderId="5" xfId="0" applyNumberFormat="1" applyFont="1" applyFill="1" applyBorder="1" applyAlignment="1">
      <alignment horizontal="center" vertical="center" wrapText="1"/>
    </xf>
    <xf numFmtId="184" fontId="0" fillId="2" borderId="0" xfId="0" applyNumberFormat="1" applyFill="1"/>
    <xf numFmtId="181" fontId="0" fillId="2" borderId="5" xfId="0" applyNumberFormat="1" applyFill="1" applyBorder="1"/>
    <xf numFmtId="181" fontId="1" fillId="2" borderId="5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limBook\Desktop\01.09.2024&#1075;%20&#1058;&#1040;&#1056;&#1048;&#1060;&#1048;&#1050;&#1040;&#1062;&#1048;&#1071;%202024&#1075;&#1075;%20&#8212;\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12">
          <cell r="J12">
            <v>7425181.361</v>
          </cell>
        </row>
        <row r="77">
          <cell r="I77">
            <v>5328150.26746875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6">
          <cell r="AC16">
            <v>5322.08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3">
          <cell r="L13">
            <v>131013.043483959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workbookViewId="0">
      <pane xSplit="1" ySplit="7" topLeftCell="J8" activePane="bottomRight" state="frozen"/>
      <selection/>
      <selection pane="topRight"/>
      <selection pane="bottomLeft"/>
      <selection pane="bottomRight" activeCell="A1" sqref="A1:V11"/>
    </sheetView>
  </sheetViews>
  <sheetFormatPr defaultColWidth="9" defaultRowHeight="15"/>
  <cols>
    <col min="1" max="1" width="4.57142857142857" customWidth="1"/>
    <col min="2" max="2" width="33.5714285714286" customWidth="1"/>
    <col min="3" max="3" width="15.7142857142857" style="3" hidden="1" customWidth="1"/>
    <col min="4" max="4" width="12.7142857142857" style="3" hidden="1" customWidth="1"/>
    <col min="5" max="5" width="10.5714285714286" style="3" hidden="1" customWidth="1"/>
    <col min="6" max="6" width="11.4285714285714" style="3" hidden="1" customWidth="1"/>
    <col min="7" max="9" width="13.7142857142857" style="4" customWidth="1"/>
    <col min="10" max="10" width="13.1428571428571" style="4" customWidth="1"/>
    <col min="11" max="12" width="14.4285714285714" style="4" customWidth="1"/>
    <col min="13" max="13" width="15.7142857142857" style="4" customWidth="1"/>
    <col min="14" max="14" width="12.1428571428571" style="99" customWidth="1"/>
    <col min="15" max="17" width="12.2857142857143" style="5" customWidth="1"/>
    <col min="18" max="18" width="11.8571428571429" style="5" customWidth="1"/>
    <col min="19" max="19" width="11" style="5" hidden="1" customWidth="1"/>
    <col min="20" max="21" width="10.7142857142857" style="5" hidden="1" customWidth="1"/>
    <col min="22" max="22" width="17.8571428571429" style="6" customWidth="1"/>
    <col min="23" max="23" width="0.142857142857143" customWidth="1"/>
    <col min="24" max="24" width="11.4285714285714" hidden="1" customWidth="1"/>
    <col min="25" max="25" width="12.1428571428571" hidden="1" customWidth="1"/>
  </cols>
  <sheetData>
    <row r="1" ht="20.25" spans="1:21">
      <c r="A1" s="7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44"/>
      <c r="M1" s="45"/>
      <c r="N1" s="120"/>
      <c r="O1" s="44"/>
      <c r="P1" s="44"/>
      <c r="Q1" s="44"/>
      <c r="R1" s="44"/>
      <c r="S1" s="44"/>
      <c r="T1" s="44"/>
      <c r="U1" s="44"/>
    </row>
    <row r="2" ht="15.75" spans="2:22">
      <c r="B2" s="101">
        <v>45581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9"/>
      <c r="R2" s="140"/>
      <c r="S2" s="141"/>
      <c r="T2" s="141"/>
      <c r="U2" s="141"/>
      <c r="V2" s="88" t="s">
        <v>1</v>
      </c>
    </row>
    <row r="3" ht="15.75" spans="1:22">
      <c r="A3" s="103" t="s">
        <v>2</v>
      </c>
      <c r="B3" s="104" t="s">
        <v>3</v>
      </c>
      <c r="C3" s="105"/>
      <c r="D3" s="105"/>
      <c r="E3" s="105"/>
      <c r="F3" s="105"/>
      <c r="G3" s="106" t="s">
        <v>4</v>
      </c>
      <c r="H3" s="106"/>
      <c r="I3" s="106" t="s">
        <v>5</v>
      </c>
      <c r="J3" s="121"/>
      <c r="K3" s="122"/>
      <c r="L3" s="121" t="s">
        <v>6</v>
      </c>
      <c r="M3" s="123" t="s">
        <v>7</v>
      </c>
      <c r="N3" s="124"/>
      <c r="O3" s="124"/>
      <c r="P3" s="124"/>
      <c r="Q3" s="124"/>
      <c r="R3" s="142"/>
      <c r="S3" s="143"/>
      <c r="T3" s="144"/>
      <c r="U3" s="144"/>
      <c r="V3" s="145" t="s">
        <v>8</v>
      </c>
    </row>
    <row r="4" ht="2.25" customHeight="1" spans="1:2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10"/>
      <c r="L4" s="110"/>
      <c r="M4" s="125"/>
      <c r="N4" s="126"/>
      <c r="O4" s="125"/>
      <c r="P4" s="125"/>
      <c r="Q4" s="125"/>
      <c r="R4" s="125"/>
      <c r="S4" s="146"/>
      <c r="T4" s="147"/>
      <c r="U4" s="147"/>
      <c r="V4" s="148"/>
    </row>
    <row r="5" hidden="1" customHeight="1" spans="1:22">
      <c r="A5" s="107"/>
      <c r="B5" s="108"/>
      <c r="C5" s="109"/>
      <c r="D5" s="109"/>
      <c r="E5" s="109"/>
      <c r="F5" s="109"/>
      <c r="G5" s="110"/>
      <c r="H5" s="110"/>
      <c r="I5" s="110"/>
      <c r="J5" s="110"/>
      <c r="K5" s="110"/>
      <c r="L5" s="110"/>
      <c r="M5" s="125"/>
      <c r="N5" s="126"/>
      <c r="O5" s="125"/>
      <c r="P5" s="125"/>
      <c r="Q5" s="125"/>
      <c r="R5" s="125"/>
      <c r="S5" s="146"/>
      <c r="T5" s="147"/>
      <c r="U5" s="147"/>
      <c r="V5" s="148"/>
    </row>
    <row r="6" ht="30" customHeight="1" spans="1:22">
      <c r="A6" s="111"/>
      <c r="B6" s="112"/>
      <c r="C6" s="113"/>
      <c r="D6" s="113" t="s">
        <v>9</v>
      </c>
      <c r="E6" s="113"/>
      <c r="F6" s="113"/>
      <c r="G6" s="114" t="s">
        <v>10</v>
      </c>
      <c r="H6" s="114"/>
      <c r="I6" s="114" t="s">
        <v>11</v>
      </c>
      <c r="J6" s="114"/>
      <c r="K6" s="114"/>
      <c r="L6" s="110"/>
      <c r="M6" s="123" t="s">
        <v>12</v>
      </c>
      <c r="N6" s="124"/>
      <c r="O6" s="124"/>
      <c r="P6" s="124"/>
      <c r="Q6" s="142"/>
      <c r="R6" s="149" t="s">
        <v>13</v>
      </c>
      <c r="S6" s="146"/>
      <c r="T6" s="147"/>
      <c r="U6" s="147"/>
      <c r="V6" s="148"/>
    </row>
    <row r="7" ht="53.25" customHeight="1" spans="1:22">
      <c r="A7" s="111"/>
      <c r="B7" s="112"/>
      <c r="C7" s="113">
        <v>111</v>
      </c>
      <c r="D7" s="113">
        <v>121</v>
      </c>
      <c r="E7" s="113">
        <v>122</v>
      </c>
      <c r="F7" s="113">
        <v>124</v>
      </c>
      <c r="G7" s="114" t="s">
        <v>14</v>
      </c>
      <c r="H7" s="114">
        <v>113</v>
      </c>
      <c r="I7" s="114">
        <v>121</v>
      </c>
      <c r="J7" s="114">
        <v>122</v>
      </c>
      <c r="K7" s="114">
        <v>124</v>
      </c>
      <c r="L7" s="127"/>
      <c r="M7" s="114" t="s">
        <v>15</v>
      </c>
      <c r="N7" s="128" t="s">
        <v>16</v>
      </c>
      <c r="O7" s="129" t="s">
        <v>17</v>
      </c>
      <c r="P7" s="129" t="s">
        <v>18</v>
      </c>
      <c r="Q7" s="129" t="s">
        <v>19</v>
      </c>
      <c r="R7" s="150"/>
      <c r="S7" s="151"/>
      <c r="T7" s="152"/>
      <c r="U7" s="152"/>
      <c r="V7" s="153"/>
    </row>
    <row r="8" s="1" customFormat="1" ht="15.75" customHeight="1" spans="1:25">
      <c r="A8" s="115">
        <v>1</v>
      </c>
      <c r="B8" s="116" t="s">
        <v>20</v>
      </c>
      <c r="C8" s="24">
        <f>'[1]Свод '!$J$12/1000</f>
        <v>7425.181361</v>
      </c>
      <c r="D8" s="24">
        <f>(C8-C8*10%)*6%</f>
        <v>400.959793494</v>
      </c>
      <c r="E8" s="24">
        <f>(C8-C8*10%)*3.5%</f>
        <v>233.8932128715</v>
      </c>
      <c r="F8" s="24">
        <f>C8*2%</f>
        <v>148.50362722</v>
      </c>
      <c r="G8" s="117">
        <f>'[3]Свод '!$L$13</f>
        <v>131013.043483959</v>
      </c>
      <c r="H8" s="117">
        <f>G8/12</f>
        <v>10917.7536236632</v>
      </c>
      <c r="I8" s="117">
        <f>(G8-G8*10%)*6%</f>
        <v>7074.70434813377</v>
      </c>
      <c r="J8" s="117">
        <f>(G8-G8*10%)*3.5%</f>
        <v>4126.9108697447</v>
      </c>
      <c r="K8" s="117">
        <f>G8*3%</f>
        <v>3930.39130451876</v>
      </c>
      <c r="L8" s="117">
        <f>G8+I8+J8+K8+H8</f>
        <v>157062.803630019</v>
      </c>
      <c r="M8" s="130">
        <f>[2]Лист2!$AC$16</f>
        <v>5322.08</v>
      </c>
      <c r="N8" s="131">
        <v>965.2</v>
      </c>
      <c r="O8" s="132">
        <v>184</v>
      </c>
      <c r="P8" s="133">
        <v>100</v>
      </c>
      <c r="Q8" s="133"/>
      <c r="R8" s="154"/>
      <c r="S8" s="155"/>
      <c r="T8" s="156"/>
      <c r="U8" s="156"/>
      <c r="V8" s="157">
        <f>L8+M8+N8+O8+P8+S8+R8+T8+U8+Q8</f>
        <v>163634.083630019</v>
      </c>
      <c r="W8" s="1">
        <f>M8/7</f>
        <v>760.297142857143</v>
      </c>
      <c r="X8" s="158" t="e">
        <f>#REF!+#REF!+#REF!+#REF!</f>
        <v>#REF!</v>
      </c>
      <c r="Y8" s="159" t="e">
        <f>V8-X8</f>
        <v>#REF!</v>
      </c>
    </row>
    <row r="9" s="2" customFormat="1" ht="27" customHeight="1" spans="1:25">
      <c r="A9" s="27" t="s">
        <v>21</v>
      </c>
      <c r="B9" s="28"/>
      <c r="C9" s="29">
        <f>SUM(C8:C8)</f>
        <v>7425.181361</v>
      </c>
      <c r="D9" s="24">
        <f>(C9-C9*10%)*6%</f>
        <v>400.959793494</v>
      </c>
      <c r="E9" s="24">
        <f>(C9-C9*10%)*3.5%</f>
        <v>233.8932128715</v>
      </c>
      <c r="F9" s="24">
        <f>C9*2%</f>
        <v>148.50362722</v>
      </c>
      <c r="G9" s="30">
        <f>SUM(G8:G8)</f>
        <v>131013.043483959</v>
      </c>
      <c r="H9" s="25"/>
      <c r="I9" s="30">
        <f>SUM(I8:I8)</f>
        <v>7074.70434813377</v>
      </c>
      <c r="J9" s="30">
        <f>SUM(J8:J8)</f>
        <v>4126.9108697447</v>
      </c>
      <c r="K9" s="30">
        <f>SUM(K8:K8)</f>
        <v>3930.39130451876</v>
      </c>
      <c r="L9" s="25">
        <f>G9+I9+J9+K9+H9</f>
        <v>146145.050006356</v>
      </c>
      <c r="M9" s="30">
        <f t="shared" ref="M9:U9" si="0">SUM(M8:M8)</f>
        <v>5322.08</v>
      </c>
      <c r="N9" s="134">
        <f t="shared" si="0"/>
        <v>965.2</v>
      </c>
      <c r="O9" s="30">
        <f t="shared" si="0"/>
        <v>184</v>
      </c>
      <c r="P9" s="30">
        <f t="shared" si="0"/>
        <v>100</v>
      </c>
      <c r="Q9" s="30">
        <f t="shared" si="0"/>
        <v>0</v>
      </c>
      <c r="R9" s="30">
        <f t="shared" si="0"/>
        <v>0</v>
      </c>
      <c r="S9" s="30">
        <f t="shared" si="0"/>
        <v>0</v>
      </c>
      <c r="T9" s="30">
        <f t="shared" si="0"/>
        <v>0</v>
      </c>
      <c r="U9" s="30">
        <f t="shared" si="0"/>
        <v>0</v>
      </c>
      <c r="V9" s="21">
        <f>L9+M9+N9+O9+P9+S9+R9+T9+U9+Q9</f>
        <v>152716.330006356</v>
      </c>
      <c r="X9" s="158" t="e">
        <f>#REF!+#REF!+#REF!+#REF!</f>
        <v>#REF!</v>
      </c>
      <c r="Y9" s="160"/>
    </row>
    <row r="10" s="1" customFormat="1" ht="19.5" customHeight="1" spans="1:22">
      <c r="A10" s="31"/>
      <c r="B10" s="31"/>
      <c r="C10" s="32"/>
      <c r="D10" s="32"/>
      <c r="E10" s="32"/>
      <c r="F10" s="32"/>
      <c r="G10" s="33"/>
      <c r="H10" s="33"/>
      <c r="I10" s="33"/>
      <c r="J10" s="33"/>
      <c r="K10" s="33"/>
      <c r="L10" s="33"/>
      <c r="M10" s="59"/>
      <c r="N10" s="135"/>
      <c r="O10" s="60"/>
      <c r="P10" s="87"/>
      <c r="Q10" s="87"/>
      <c r="R10" s="60"/>
      <c r="S10" s="60"/>
      <c r="T10" s="60"/>
      <c r="U10" s="60"/>
      <c r="V10" s="88" t="s">
        <v>1</v>
      </c>
    </row>
    <row r="11" ht="18.75" spans="1:22">
      <c r="A11" s="34"/>
      <c r="B11" s="35"/>
      <c r="C11" s="36"/>
      <c r="D11" s="36"/>
      <c r="E11" s="36"/>
      <c r="F11" s="36"/>
      <c r="G11" s="37"/>
      <c r="H11" s="37"/>
      <c r="I11" s="37"/>
      <c r="J11" s="37"/>
      <c r="K11" s="37"/>
      <c r="L11" s="43"/>
      <c r="M11" s="43"/>
      <c r="N11" s="136"/>
      <c r="O11" s="61"/>
      <c r="P11" s="61"/>
      <c r="Q11" s="61"/>
      <c r="R11" s="61"/>
      <c r="S11" s="61"/>
      <c r="T11" s="61"/>
      <c r="U11" s="61"/>
      <c r="V11" s="90"/>
    </row>
    <row r="12" ht="18.75" spans="1:22">
      <c r="A12" s="34"/>
      <c r="B12" s="34"/>
      <c r="C12" s="118"/>
      <c r="D12" s="118"/>
      <c r="E12" s="118"/>
      <c r="F12" s="118"/>
      <c r="G12" s="119"/>
      <c r="H12" s="119"/>
      <c r="I12" s="119"/>
      <c r="J12" s="119"/>
      <c r="K12" s="119"/>
      <c r="L12" s="43"/>
      <c r="M12" s="43"/>
      <c r="N12" s="137"/>
      <c r="O12" s="43"/>
      <c r="P12" s="61"/>
      <c r="Q12" s="61"/>
      <c r="R12" s="61"/>
      <c r="S12" s="61"/>
      <c r="T12" s="61"/>
      <c r="U12" s="61"/>
      <c r="V12" s="90"/>
    </row>
    <row r="13" ht="15.75" spans="1:22">
      <c r="A13" s="38"/>
      <c r="B13" s="39"/>
      <c r="C13" s="40"/>
      <c r="D13" s="40"/>
      <c r="E13" s="40"/>
      <c r="F13" s="40"/>
      <c r="G13" s="41"/>
      <c r="H13" s="41"/>
      <c r="I13" s="41"/>
      <c r="J13" s="41"/>
      <c r="K13" s="41"/>
      <c r="L13" s="41"/>
      <c r="M13" s="41"/>
      <c r="N13" s="136"/>
      <c r="O13" s="61"/>
      <c r="P13" s="61"/>
      <c r="Q13" s="61"/>
      <c r="R13" s="61"/>
      <c r="S13" s="61"/>
      <c r="T13" s="61"/>
      <c r="U13" s="61"/>
      <c r="V13" s="90"/>
    </row>
    <row r="14" ht="15.75" spans="1:22">
      <c r="A14" s="38"/>
      <c r="B14" s="39"/>
      <c r="C14" s="40"/>
      <c r="D14" s="40"/>
      <c r="E14" s="40"/>
      <c r="F14" s="40"/>
      <c r="G14" s="41"/>
      <c r="H14" s="41"/>
      <c r="I14" s="41"/>
      <c r="J14" s="41"/>
      <c r="K14" s="41"/>
      <c r="L14" s="41"/>
      <c r="M14" s="41"/>
      <c r="N14" s="137"/>
      <c r="O14" s="61"/>
      <c r="P14" s="61"/>
      <c r="Q14" s="61"/>
      <c r="R14" s="61"/>
      <c r="S14" s="61"/>
      <c r="T14" s="61"/>
      <c r="U14" s="61"/>
      <c r="V14" s="90"/>
    </row>
    <row r="15" ht="15.75" spans="1:22">
      <c r="A15" s="38"/>
      <c r="B15" s="38"/>
      <c r="C15" s="42"/>
      <c r="D15" s="42"/>
      <c r="E15" s="42"/>
      <c r="F15" s="42"/>
      <c r="G15" s="43"/>
      <c r="H15" s="43"/>
      <c r="I15" s="43"/>
      <c r="J15" s="43"/>
      <c r="K15" s="43"/>
      <c r="L15" s="43"/>
      <c r="M15" s="43"/>
      <c r="N15" s="136"/>
      <c r="O15" s="61"/>
      <c r="P15" s="61"/>
      <c r="Q15" s="61"/>
      <c r="R15" s="61"/>
      <c r="S15" s="61"/>
      <c r="T15" s="61"/>
      <c r="U15" s="61"/>
      <c r="V15" s="90"/>
    </row>
    <row r="16" spans="14:14">
      <c r="N16" s="138"/>
    </row>
    <row r="17" spans="14:14">
      <c r="N17" s="138"/>
    </row>
  </sheetData>
  <mergeCells count="16">
    <mergeCell ref="B1:K1"/>
    <mergeCell ref="B2:P2"/>
    <mergeCell ref="I3:K3"/>
    <mergeCell ref="M3:R3"/>
    <mergeCell ref="B4:J4"/>
    <mergeCell ref="D6:F6"/>
    <mergeCell ref="I6:K6"/>
    <mergeCell ref="M6:Q6"/>
    <mergeCell ref="A9:B9"/>
    <mergeCell ref="G11:H11"/>
    <mergeCell ref="L3:L7"/>
    <mergeCell ref="R6:R7"/>
    <mergeCell ref="S3:S7"/>
    <mergeCell ref="T3:T7"/>
    <mergeCell ref="U3:U7"/>
    <mergeCell ref="V3:V7"/>
  </mergeCells>
  <pageMargins left="0.118110236220472" right="0" top="0.15748031496063" bottom="0.354330708661417" header="0" footer="0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AF19"/>
  <sheetViews>
    <sheetView workbookViewId="0">
      <selection activeCell="O9" sqref="O9:P9"/>
    </sheetView>
  </sheetViews>
  <sheetFormatPr defaultColWidth="9" defaultRowHeight="15"/>
  <cols>
    <col min="1" max="1" width="5.14285714285714" customWidth="1"/>
    <col min="2" max="2" width="4.57142857142857" customWidth="1"/>
    <col min="3" max="3" width="24.1428571428571" customWidth="1"/>
    <col min="4" max="4" width="15.7142857142857" style="3" hidden="1" customWidth="1"/>
    <col min="5" max="5" width="12.7142857142857" style="3" hidden="1" customWidth="1"/>
    <col min="6" max="6" width="10.5714285714286" style="3" hidden="1" customWidth="1"/>
    <col min="7" max="7" width="11.4285714285714" style="3" hidden="1" customWidth="1"/>
    <col min="8" max="8" width="13.7142857142857" style="4" customWidth="1"/>
    <col min="9" max="9" width="10.4285714285714" style="4" customWidth="1"/>
    <col min="10" max="10" width="10.5714285714286" style="4" customWidth="1"/>
    <col min="11" max="11" width="10.1428571428571" style="4" customWidth="1"/>
    <col min="12" max="12" width="11.2857142857143" style="4" customWidth="1"/>
    <col min="13" max="13" width="13.1428571428571" style="4" customWidth="1"/>
    <col min="14" max="14" width="15.7142857142857" style="4" hidden="1" customWidth="1"/>
    <col min="15" max="15" width="12.1428571428571" style="5" customWidth="1"/>
    <col min="16" max="16" width="12.2857142857143" style="5" customWidth="1"/>
    <col min="17" max="17" width="10.5714285714286" style="5" hidden="1" customWidth="1"/>
    <col min="18" max="18" width="9.42857142857143" style="5" customWidth="1"/>
    <col min="19" max="19" width="11.8571428571429" style="5" customWidth="1"/>
    <col min="20" max="20" width="11" style="5" hidden="1" customWidth="1"/>
    <col min="21" max="22" width="10.7142857142857" style="5" hidden="1" customWidth="1"/>
    <col min="23" max="23" width="13.2857142857143" style="6" customWidth="1"/>
    <col min="24" max="24" width="13" customWidth="1"/>
    <col min="25" max="25" width="9.14285714285714" hidden="1" customWidth="1"/>
    <col min="26" max="26" width="11.5714285714286" customWidth="1"/>
    <col min="27" max="27" width="12" customWidth="1"/>
    <col min="28" max="28" width="13.8571428571429" customWidth="1"/>
    <col min="29" max="29" width="0.142857142857143" customWidth="1"/>
    <col min="30" max="30" width="11.4285714285714" hidden="1" customWidth="1"/>
    <col min="31" max="31" width="12.1428571428571" hidden="1" customWidth="1"/>
  </cols>
  <sheetData>
    <row r="3" ht="20.25" spans="2:32">
      <c r="B3" s="7"/>
      <c r="C3" s="8" t="s">
        <v>22</v>
      </c>
      <c r="D3" s="8"/>
      <c r="E3" s="8"/>
      <c r="F3" s="8"/>
      <c r="G3" s="8"/>
      <c r="H3" s="8"/>
      <c r="I3" s="8"/>
      <c r="J3" s="8"/>
      <c r="K3" s="8"/>
      <c r="L3" s="8"/>
      <c r="M3" s="44"/>
      <c r="N3" s="45"/>
      <c r="O3" s="44"/>
      <c r="P3" s="44"/>
      <c r="Q3" s="44"/>
      <c r="R3" s="44"/>
      <c r="S3" s="44"/>
      <c r="T3" s="44"/>
      <c r="U3" s="44"/>
      <c r="V3" s="44"/>
      <c r="W3" s="62"/>
      <c r="X3" s="9"/>
      <c r="Y3" s="9"/>
      <c r="Z3" s="9"/>
      <c r="AA3" s="9"/>
      <c r="AB3" s="9"/>
      <c r="AC3" s="9"/>
      <c r="AD3" s="9"/>
      <c r="AE3" s="9"/>
      <c r="AF3" s="9"/>
    </row>
    <row r="4" ht="20.25" spans="2:3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44"/>
      <c r="N4" s="45"/>
      <c r="O4" s="44"/>
      <c r="P4" s="44"/>
      <c r="Q4" s="44"/>
      <c r="R4" s="44"/>
      <c r="S4" s="44"/>
      <c r="T4" s="44"/>
      <c r="U4" s="44"/>
      <c r="V4" s="44"/>
      <c r="W4" s="62"/>
      <c r="X4" s="9"/>
      <c r="Y4" s="9"/>
      <c r="Z4" s="9"/>
      <c r="AA4" s="9"/>
      <c r="AB4" s="9"/>
      <c r="AC4" s="9"/>
      <c r="AD4" s="9"/>
      <c r="AE4" s="9"/>
      <c r="AF4" s="9"/>
    </row>
    <row r="5" ht="15.75" spans="2:3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63"/>
      <c r="S5" s="64"/>
      <c r="T5" s="65"/>
      <c r="U5" s="65"/>
      <c r="V5" s="65"/>
      <c r="W5" s="66"/>
      <c r="X5" s="9"/>
      <c r="Y5" s="9"/>
      <c r="Z5" s="9"/>
      <c r="AA5" s="9"/>
      <c r="AB5" s="88" t="s">
        <v>1</v>
      </c>
      <c r="AC5" s="9"/>
      <c r="AD5" s="9"/>
      <c r="AE5" s="9"/>
      <c r="AF5" s="9"/>
    </row>
    <row r="6" ht="17.25" customHeight="1" spans="2:32">
      <c r="B6" s="11" t="s">
        <v>2</v>
      </c>
      <c r="C6" s="12" t="s">
        <v>3</v>
      </c>
      <c r="D6" s="13"/>
      <c r="E6" s="13"/>
      <c r="F6" s="13"/>
      <c r="G6" s="13"/>
      <c r="H6" s="14" t="s">
        <v>4</v>
      </c>
      <c r="I6" s="46" t="s">
        <v>5</v>
      </c>
      <c r="J6" s="47"/>
      <c r="K6" s="47"/>
      <c r="L6" s="48"/>
      <c r="M6" s="21" t="s">
        <v>6</v>
      </c>
      <c r="N6" s="49" t="s">
        <v>7</v>
      </c>
      <c r="O6" s="49"/>
      <c r="P6" s="49"/>
      <c r="Q6" s="49"/>
      <c r="R6" s="49"/>
      <c r="S6" s="67"/>
      <c r="T6" s="68"/>
      <c r="U6" s="69"/>
      <c r="V6" s="69"/>
      <c r="W6" s="70" t="s">
        <v>8</v>
      </c>
      <c r="X6" s="71" t="s">
        <v>23</v>
      </c>
      <c r="Y6" s="91"/>
      <c r="Z6" s="71" t="s">
        <v>24</v>
      </c>
      <c r="AA6" s="71" t="s">
        <v>25</v>
      </c>
      <c r="AB6" s="71" t="s">
        <v>26</v>
      </c>
      <c r="AC6" s="9"/>
      <c r="AD6" s="9"/>
      <c r="AE6" s="9"/>
      <c r="AF6" s="9"/>
    </row>
    <row r="7" ht="30" customHeight="1" spans="2:32">
      <c r="B7" s="15"/>
      <c r="C7" s="16"/>
      <c r="D7" s="17"/>
      <c r="E7" s="17" t="s">
        <v>9</v>
      </c>
      <c r="F7" s="17"/>
      <c r="G7" s="17"/>
      <c r="H7" s="18"/>
      <c r="I7" s="50"/>
      <c r="J7" s="51"/>
      <c r="K7" s="51"/>
      <c r="L7" s="52"/>
      <c r="M7" s="21"/>
      <c r="N7" s="49" t="s">
        <v>12</v>
      </c>
      <c r="O7" s="49"/>
      <c r="P7" s="49"/>
      <c r="Q7" s="49"/>
      <c r="R7" s="67"/>
      <c r="S7" s="72" t="s">
        <v>27</v>
      </c>
      <c r="T7" s="73"/>
      <c r="U7" s="74"/>
      <c r="V7" s="74"/>
      <c r="W7" s="75"/>
      <c r="X7" s="71"/>
      <c r="Y7" s="91"/>
      <c r="Z7" s="71"/>
      <c r="AA7" s="71"/>
      <c r="AB7" s="71"/>
      <c r="AC7" s="9"/>
      <c r="AD7" s="9"/>
      <c r="AE7" s="9"/>
      <c r="AF7" s="9"/>
    </row>
    <row r="8" ht="53.25" customHeight="1" spans="2:32">
      <c r="B8" s="19"/>
      <c r="C8" s="20"/>
      <c r="D8" s="17">
        <v>111</v>
      </c>
      <c r="E8" s="17">
        <v>121</v>
      </c>
      <c r="F8" s="17">
        <v>122</v>
      </c>
      <c r="G8" s="17">
        <v>124</v>
      </c>
      <c r="H8" s="21" t="s">
        <v>14</v>
      </c>
      <c r="I8" s="21">
        <v>116</v>
      </c>
      <c r="J8" s="21">
        <v>121</v>
      </c>
      <c r="K8" s="21">
        <v>122</v>
      </c>
      <c r="L8" s="53">
        <v>124</v>
      </c>
      <c r="M8" s="21"/>
      <c r="N8" s="54" t="s">
        <v>15</v>
      </c>
      <c r="O8" s="55" t="s">
        <v>16</v>
      </c>
      <c r="P8" s="56" t="s">
        <v>17</v>
      </c>
      <c r="Q8" s="56" t="s">
        <v>18</v>
      </c>
      <c r="R8" s="56" t="s">
        <v>19</v>
      </c>
      <c r="S8" s="76"/>
      <c r="T8" s="77"/>
      <c r="U8" s="78"/>
      <c r="V8" s="78"/>
      <c r="W8" s="79"/>
      <c r="X8" s="71"/>
      <c r="Y8" s="91"/>
      <c r="Z8" s="71"/>
      <c r="AA8" s="71"/>
      <c r="AB8" s="71"/>
      <c r="AC8" s="9"/>
      <c r="AD8" s="9"/>
      <c r="AE8" s="9"/>
      <c r="AF8" s="9"/>
    </row>
    <row r="9" s="1" customFormat="1" ht="18" customHeight="1" spans="2:32">
      <c r="B9" s="22">
        <v>1</v>
      </c>
      <c r="C9" s="23" t="s">
        <v>28</v>
      </c>
      <c r="D9" s="24">
        <f>'[1]Свод '!$I$77/1000</f>
        <v>5328.15026746875</v>
      </c>
      <c r="E9" s="24">
        <f t="shared" ref="E9" si="0">(D9-D9*10%)*6%</f>
        <v>287.720114443313</v>
      </c>
      <c r="F9" s="24">
        <f t="shared" ref="F9" si="1">(D9-D9*10%)*3.5%</f>
        <v>167.836733425266</v>
      </c>
      <c r="G9" s="24">
        <f t="shared" ref="G9" si="2">D9*2%</f>
        <v>106.563005349375</v>
      </c>
      <c r="H9" s="25">
        <f>8490*12</f>
        <v>101880</v>
      </c>
      <c r="I9" s="25">
        <f t="shared" ref="I9:I11" si="3">H9*1.5%</f>
        <v>1528.2</v>
      </c>
      <c r="J9" s="25">
        <f>(H9-H9*10%)*6%</f>
        <v>5501.52</v>
      </c>
      <c r="K9" s="25">
        <f>(H9-H9*10%)*3.5%</f>
        <v>3209.22</v>
      </c>
      <c r="L9" s="25">
        <f t="shared" ref="L9" si="4">H9*2%</f>
        <v>2037.6</v>
      </c>
      <c r="M9" s="25">
        <f t="shared" ref="M9" si="5">H9+J9+K9+L9+I9</f>
        <v>114156.54</v>
      </c>
      <c r="N9" s="57"/>
      <c r="O9" s="58">
        <v>3026</v>
      </c>
      <c r="P9" s="58">
        <f>3560+612</f>
        <v>4172</v>
      </c>
      <c r="Q9" s="80">
        <v>0</v>
      </c>
      <c r="R9" s="80">
        <v>29.5</v>
      </c>
      <c r="S9" s="81">
        <v>2084</v>
      </c>
      <c r="T9" s="82"/>
      <c r="U9" s="83"/>
      <c r="V9" s="83"/>
      <c r="W9" s="84">
        <f>M9+N9+O9+P9+Q9+T9+S9+U9+V9+R9</f>
        <v>123468.04</v>
      </c>
      <c r="X9" s="85">
        <f>W9/4+72</f>
        <v>30939.01</v>
      </c>
      <c r="Y9" s="92"/>
      <c r="Z9" s="85">
        <f t="shared" ref="Z9" si="6">(M9+O9+P9+Q9+R9+S9)/4+819</f>
        <v>31686.01</v>
      </c>
      <c r="AA9" s="93">
        <f t="shared" ref="AA9" si="7">(M9+O9+P9+Q9+R9+S9)/4</f>
        <v>30867.01</v>
      </c>
      <c r="AB9" s="85">
        <f>30795.63-819</f>
        <v>29976.63</v>
      </c>
      <c r="AC9" s="89">
        <f t="shared" ref="AC9" si="8">N9/7</f>
        <v>0</v>
      </c>
      <c r="AD9" s="94">
        <f t="shared" ref="AD9:AD11" si="9">X9+Z9+AA9+AB9</f>
        <v>123468.66</v>
      </c>
      <c r="AE9" s="95">
        <f t="shared" ref="AE9" si="10">W9-AD9</f>
        <v>-0.619999999995343</v>
      </c>
      <c r="AF9" s="89"/>
    </row>
    <row r="10" s="1" customFormat="1" ht="19.5" customHeight="1" spans="2:32">
      <c r="B10" s="26"/>
      <c r="C10" s="23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 s="57"/>
      <c r="O10" s="58"/>
      <c r="P10" s="58"/>
      <c r="Q10" s="80"/>
      <c r="R10" s="80"/>
      <c r="S10" s="81"/>
      <c r="T10" s="82"/>
      <c r="U10" s="83"/>
      <c r="V10" s="83"/>
      <c r="W10" s="84"/>
      <c r="X10" s="86"/>
      <c r="Y10" s="96"/>
      <c r="Z10" s="86"/>
      <c r="AA10" s="95"/>
      <c r="AB10" s="86"/>
      <c r="AC10" s="89"/>
      <c r="AD10" s="94"/>
      <c r="AE10" s="95"/>
      <c r="AF10" s="89"/>
    </row>
    <row r="11" s="2" customFormat="1" ht="27" customHeight="1" spans="2:32">
      <c r="B11" s="27" t="s">
        <v>21</v>
      </c>
      <c r="C11" s="28"/>
      <c r="D11" s="29">
        <f>SUM(D9:D10)</f>
        <v>5328.15026746875</v>
      </c>
      <c r="E11" s="24">
        <f>(D11-D11*10%)*6%</f>
        <v>287.720114443313</v>
      </c>
      <c r="F11" s="24">
        <f>(D11-D11*10%)*3.5%</f>
        <v>167.836733425266</v>
      </c>
      <c r="G11" s="24">
        <f>D11*2%</f>
        <v>106.563005349375</v>
      </c>
      <c r="H11" s="30">
        <f>SUM(H9:H10)</f>
        <v>101880</v>
      </c>
      <c r="I11" s="25">
        <f t="shared" si="3"/>
        <v>1528.2</v>
      </c>
      <c r="J11" s="30">
        <f>SUM(J9:J10)</f>
        <v>5501.52</v>
      </c>
      <c r="K11" s="30">
        <f>SUM(K9:K10)</f>
        <v>3209.22</v>
      </c>
      <c r="L11" s="30">
        <f>SUM(L9:L10)</f>
        <v>2037.6</v>
      </c>
      <c r="M11" s="25">
        <f>H11+J11+K11+L11+I11</f>
        <v>114156.54</v>
      </c>
      <c r="N11" s="30">
        <f t="shared" ref="N11:V11" si="11">SUM(N9:N10)</f>
        <v>0</v>
      </c>
      <c r="O11" s="30">
        <f t="shared" si="11"/>
        <v>3026</v>
      </c>
      <c r="P11" s="30">
        <f t="shared" si="11"/>
        <v>4172</v>
      </c>
      <c r="Q11" s="30">
        <f t="shared" si="11"/>
        <v>0</v>
      </c>
      <c r="R11" s="30">
        <f t="shared" si="11"/>
        <v>29.5</v>
      </c>
      <c r="S11" s="30">
        <f t="shared" si="11"/>
        <v>2084</v>
      </c>
      <c r="T11" s="30">
        <f t="shared" si="11"/>
        <v>0</v>
      </c>
      <c r="U11" s="30">
        <f t="shared" si="11"/>
        <v>0</v>
      </c>
      <c r="V11" s="30">
        <f t="shared" si="11"/>
        <v>0</v>
      </c>
      <c r="W11" s="21">
        <f>M11+N11+O11+P11+Q11+T11+S11+U11+V11+R11</f>
        <v>123468.04</v>
      </c>
      <c r="X11" s="21"/>
      <c r="Y11" s="21"/>
      <c r="Z11" s="21"/>
      <c r="AA11" s="21"/>
      <c r="AB11" s="21"/>
      <c r="AC11" s="97"/>
      <c r="AD11" s="94">
        <f t="shared" si="9"/>
        <v>0</v>
      </c>
      <c r="AE11" s="98"/>
      <c r="AF11" s="97"/>
    </row>
    <row r="12" s="1" customFormat="1" ht="19.5" customHeight="1" spans="2:32">
      <c r="B12" s="31"/>
      <c r="C12" s="31"/>
      <c r="D12" s="32"/>
      <c r="E12" s="32"/>
      <c r="F12" s="32"/>
      <c r="G12" s="32"/>
      <c r="H12" s="33"/>
      <c r="I12" s="33"/>
      <c r="J12" s="33"/>
      <c r="K12" s="33"/>
      <c r="L12" s="33"/>
      <c r="M12" s="33"/>
      <c r="N12" s="59"/>
      <c r="O12" s="59"/>
      <c r="P12" s="60"/>
      <c r="Q12" s="87"/>
      <c r="R12" s="87"/>
      <c r="S12" s="60"/>
      <c r="T12" s="60"/>
      <c r="U12" s="60"/>
      <c r="V12" s="60"/>
      <c r="W12" s="88"/>
      <c r="X12" s="89"/>
      <c r="Y12" s="89"/>
      <c r="Z12" s="89"/>
      <c r="AA12" s="89"/>
      <c r="AB12" s="89"/>
      <c r="AC12" s="89"/>
      <c r="AD12" s="89"/>
      <c r="AE12" s="89"/>
      <c r="AF12" s="89"/>
    </row>
    <row r="13" ht="18.75" spans="2:23">
      <c r="B13" s="34"/>
      <c r="C13" s="35"/>
      <c r="D13" s="36"/>
      <c r="E13" s="36"/>
      <c r="F13" s="36"/>
      <c r="G13" s="36"/>
      <c r="H13" s="37"/>
      <c r="I13" s="37"/>
      <c r="J13" s="37"/>
      <c r="K13" s="37"/>
      <c r="L13" s="37"/>
      <c r="M13" s="43"/>
      <c r="N13" s="43"/>
      <c r="O13" s="43"/>
      <c r="P13" s="61"/>
      <c r="Q13" s="61"/>
      <c r="R13" s="61"/>
      <c r="S13" s="61"/>
      <c r="T13" s="61"/>
      <c r="U13" s="61"/>
      <c r="V13" s="61"/>
      <c r="W13" s="90"/>
    </row>
    <row r="14" ht="18.75" spans="2:23">
      <c r="B14" s="34"/>
      <c r="C14" s="35" t="s">
        <v>29</v>
      </c>
      <c r="D14" s="36"/>
      <c r="E14" s="36"/>
      <c r="F14" s="36"/>
      <c r="G14" s="36"/>
      <c r="H14" s="37"/>
      <c r="I14" s="37"/>
      <c r="J14" s="37"/>
      <c r="K14" s="37"/>
      <c r="L14" s="37" t="s">
        <v>30</v>
      </c>
      <c r="M14" s="33"/>
      <c r="N14" s="43"/>
      <c r="O14" s="61"/>
      <c r="P14" s="43"/>
      <c r="Q14" s="61"/>
      <c r="R14" s="61"/>
      <c r="S14" s="61"/>
      <c r="T14" s="61"/>
      <c r="U14" s="61"/>
      <c r="V14" s="61"/>
      <c r="W14" s="90"/>
    </row>
    <row r="15" ht="15.75" spans="2:23">
      <c r="B15" s="38"/>
      <c r="C15" s="39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43"/>
      <c r="P15" s="61"/>
      <c r="Q15" s="61"/>
      <c r="R15" s="61"/>
      <c r="S15" s="61"/>
      <c r="T15" s="61"/>
      <c r="U15" s="61"/>
      <c r="V15" s="61"/>
      <c r="W15" s="90"/>
    </row>
    <row r="16" ht="15.75" spans="2:23">
      <c r="B16" s="38"/>
      <c r="C16" s="39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61"/>
      <c r="P16" s="61"/>
      <c r="Q16" s="61"/>
      <c r="R16" s="61"/>
      <c r="S16" s="61"/>
      <c r="T16" s="61"/>
      <c r="U16" s="61"/>
      <c r="V16" s="61"/>
      <c r="W16" s="90"/>
    </row>
    <row r="17" ht="15.75" spans="2:23">
      <c r="B17" s="38"/>
      <c r="C17" s="38"/>
      <c r="D17" s="42"/>
      <c r="E17" s="42"/>
      <c r="F17" s="42"/>
      <c r="G17" s="42"/>
      <c r="H17" s="43"/>
      <c r="I17" s="43"/>
      <c r="J17" s="43"/>
      <c r="K17" s="43"/>
      <c r="L17" s="43"/>
      <c r="M17" s="43"/>
      <c r="N17" s="43"/>
      <c r="O17" s="43"/>
      <c r="P17" s="61"/>
      <c r="Q17" s="61"/>
      <c r="R17" s="61"/>
      <c r="S17" s="61"/>
      <c r="T17" s="61"/>
      <c r="U17" s="61"/>
      <c r="V17" s="61"/>
      <c r="W17" s="90"/>
    </row>
    <row r="18" spans="15:15">
      <c r="O18" s="4"/>
    </row>
    <row r="19" spans="15:15">
      <c r="O19" s="4"/>
    </row>
  </sheetData>
  <mergeCells count="20">
    <mergeCell ref="C5:Q5"/>
    <mergeCell ref="N6:S6"/>
    <mergeCell ref="E7:G7"/>
    <mergeCell ref="N7:R7"/>
    <mergeCell ref="B11:C11"/>
    <mergeCell ref="H13:I13"/>
    <mergeCell ref="B6:B7"/>
    <mergeCell ref="C6:C7"/>
    <mergeCell ref="H6:H7"/>
    <mergeCell ref="M6:M8"/>
    <mergeCell ref="S7:S8"/>
    <mergeCell ref="T6:T8"/>
    <mergeCell ref="U6:U8"/>
    <mergeCell ref="V6:V8"/>
    <mergeCell ref="W6:W8"/>
    <mergeCell ref="X6:X8"/>
    <mergeCell ref="Z6:Z8"/>
    <mergeCell ref="AA6:AA8"/>
    <mergeCell ref="AB6:AB8"/>
    <mergeCell ref="I6:L7"/>
  </mergeCells>
  <pageMargins left="0.118110236220472" right="0.118110236220472" top="0.15748031496063" bottom="0.15748031496063" header="0" footer="0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16.10.2024</vt:lpstr>
      <vt:lpstr>РОО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Restart</cp:lastModifiedBy>
  <dcterms:created xsi:type="dcterms:W3CDTF">2006-09-16T00:00:00Z</dcterms:created>
  <dcterms:modified xsi:type="dcterms:W3CDTF">2024-11-05T04:40:45Z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205B28B4A02E462EB5B0DBF954E38910_13</vt:lpwstr>
  </property>
  <property fmtid="{D5CDD505-2E9C-101B-9397-08002B2CF9AE}" pid="3" name="KSOProductBuildVer">
    <vt:lpwstr>1049-12.2.0.18607</vt:lpwstr>
  </property>
</Properties>
</file>